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422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TJordan</author>
    <author>Tom Jordan</author>
    <author>tjorda01</author>
  </authors>
  <commentList>
    <comment ref="B110" authorId="0">
      <text>
        <r>
          <rPr>
            <b/>
            <sz val="8"/>
            <rFont val="Tahoma"/>
            <family val="0"/>
          </rPr>
          <t>Climbing Equivalent Flat distance.
This is the length of flat distance a rider could travel in the same time covered on the climbing sections using the same power.</t>
        </r>
      </text>
    </comment>
    <comment ref="B111" authorId="0">
      <text>
        <r>
          <rPr>
            <b/>
            <sz val="8"/>
            <rFont val="Tahoma"/>
            <family val="0"/>
          </rPr>
          <t>Descending Equivalent Flat distance.
This is the length of flat distance a rider could travel in the same time covered on the descending sections using the same power.</t>
        </r>
      </text>
    </comment>
    <comment ref="E19" authorId="1">
      <text>
        <r>
          <rPr>
            <b/>
            <sz val="8"/>
            <rFont val="Tahoma"/>
            <family val="0"/>
          </rPr>
          <t>This should always equal 
Pc (power on climbs).
It is shown here as a check.</t>
        </r>
      </text>
    </comment>
    <comment ref="F14" authorId="1">
      <text>
        <r>
          <rPr>
            <b/>
            <sz val="8"/>
            <rFont val="Tahoma"/>
            <family val="0"/>
          </rPr>
          <t>Vair in mph</t>
        </r>
      </text>
    </comment>
    <comment ref="B114" authorId="1">
      <text>
        <r>
          <rPr>
            <b/>
            <sz val="8"/>
            <rFont val="Tahoma"/>
            <family val="0"/>
          </rPr>
          <t>This should always equal Total Time (Total EFD / V0).  
It is shown here as a check.</t>
        </r>
      </text>
    </comment>
    <comment ref="C53" authorId="2">
      <text>
        <r>
          <rPr>
            <b/>
            <sz val="8"/>
            <rFont val="Tahoma"/>
            <family val="0"/>
          </rPr>
          <t>Vfnw = Velocity on Flat with No Wind</t>
        </r>
      </text>
    </comment>
    <comment ref="C110" authorId="0">
      <text>
        <r>
          <rPr>
            <b/>
            <sz val="8"/>
            <rFont val="Tahoma"/>
            <family val="0"/>
          </rPr>
          <t>Climbing Equivalent Flat distance.
This is the length of flat distance a rider could travel in the same time covered on the climbing sections using the same power.</t>
        </r>
      </text>
    </comment>
    <comment ref="C111" authorId="0">
      <text>
        <r>
          <rPr>
            <b/>
            <sz val="8"/>
            <rFont val="Tahoma"/>
            <family val="0"/>
          </rPr>
          <t>Descending Equivalent Flat distance.
This is the length of flat distance a rider could travel in the same time covered on the descending sections using the same power.</t>
        </r>
      </text>
    </comment>
    <comment ref="C114" authorId="1">
      <text>
        <r>
          <rPr>
            <b/>
            <sz val="8"/>
            <rFont val="Tahoma"/>
            <family val="0"/>
          </rPr>
          <t>This should always equal Total Time (Total EFD / V0).  
It is shown here as a check.</t>
        </r>
      </text>
    </comment>
  </commentList>
</comments>
</file>

<file path=xl/comments2.xml><?xml version="1.0" encoding="utf-8"?>
<comments xmlns="http://schemas.openxmlformats.org/spreadsheetml/2006/main">
  <authors>
    <author>TJordan</author>
  </authors>
  <commentList>
    <comment ref="D2" authorId="0">
      <text>
        <r>
          <rPr>
            <b/>
            <sz val="8"/>
            <rFont val="Tahoma"/>
            <family val="0"/>
          </rPr>
          <t>Weight, newtons</t>
        </r>
      </text>
    </comment>
  </commentList>
</comments>
</file>

<file path=xl/comments3.xml><?xml version="1.0" encoding="utf-8"?>
<comments xmlns="http://schemas.openxmlformats.org/spreadsheetml/2006/main">
  <authors>
    <author>Tom Jordan</author>
    <author>TJordan</author>
  </authors>
  <commentList>
    <comment ref="F14" authorId="0">
      <text>
        <r>
          <rPr>
            <b/>
            <sz val="8"/>
            <rFont val="Tahoma"/>
            <family val="0"/>
          </rPr>
          <t>Vair in mph</t>
        </r>
      </text>
    </comment>
    <comment ref="E19" authorId="0">
      <text>
        <r>
          <rPr>
            <b/>
            <sz val="8"/>
            <rFont val="Tahoma"/>
            <family val="0"/>
          </rPr>
          <t>This should always equal 
Pc (power on climbs).
It is shown here as a check.</t>
        </r>
      </text>
    </comment>
    <comment ref="B110" authorId="1">
      <text>
        <r>
          <rPr>
            <b/>
            <sz val="8"/>
            <rFont val="Tahoma"/>
            <family val="0"/>
          </rPr>
          <t>Climbing Equivalent Flat distance.
This is the length of flat distance a rider could travel in the same time covered on the climbing sections using the same power.</t>
        </r>
      </text>
    </comment>
    <comment ref="B111" authorId="1">
      <text>
        <r>
          <rPr>
            <b/>
            <sz val="8"/>
            <rFont val="Tahoma"/>
            <family val="0"/>
          </rPr>
          <t>Descending Equivalent Flat distance.
This is the length of flat distance a rider could travel in the same time covered on the descending sections using the same power.</t>
        </r>
      </text>
    </comment>
    <comment ref="B114" authorId="0">
      <text>
        <r>
          <rPr>
            <b/>
            <sz val="8"/>
            <rFont val="Tahoma"/>
            <family val="0"/>
          </rPr>
          <t>This should always equal Total Time (Total EFD / V0).  
It is shown here as a check.</t>
        </r>
      </text>
    </comment>
  </commentList>
</comments>
</file>

<file path=xl/sharedStrings.xml><?xml version="1.0" encoding="utf-8"?>
<sst xmlns="http://schemas.openxmlformats.org/spreadsheetml/2006/main" count="287" uniqueCount="93">
  <si>
    <t>m</t>
  </si>
  <si>
    <t>Faero</t>
  </si>
  <si>
    <t>A</t>
  </si>
  <si>
    <t>Cw</t>
  </si>
  <si>
    <t>Rho</t>
  </si>
  <si>
    <t>W</t>
  </si>
  <si>
    <t>Vwind</t>
  </si>
  <si>
    <t>Froll</t>
  </si>
  <si>
    <t>Fgrad</t>
  </si>
  <si>
    <t>Ftotal</t>
  </si>
  <si>
    <t>Croll</t>
  </si>
  <si>
    <t>Ed</t>
  </si>
  <si>
    <t>Dd</t>
  </si>
  <si>
    <t>Grad, %</t>
  </si>
  <si>
    <t>Grad sin(), %</t>
  </si>
  <si>
    <t>Course Data:</t>
  </si>
  <si>
    <t>Distance (mi)</t>
  </si>
  <si>
    <t>Climb elev, CE (ft)</t>
  </si>
  <si>
    <t>Climb dist, CD (mi)</t>
  </si>
  <si>
    <t>Rider Data:</t>
  </si>
  <si>
    <t>A (m2)</t>
  </si>
  <si>
    <t>W (kg)</t>
  </si>
  <si>
    <t>Crr</t>
  </si>
  <si>
    <t>Environmental Data:</t>
  </si>
  <si>
    <t>Temperature (F)</t>
  </si>
  <si>
    <t>Baro. Pressure (in hg)</t>
  </si>
  <si>
    <t>Altitude, avg (ft)</t>
  </si>
  <si>
    <t>Density, Air (kg/m3)</t>
  </si>
  <si>
    <t>Wind (mph)</t>
  </si>
  <si>
    <t>head wind (mps)</t>
  </si>
  <si>
    <t>Gradient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</si>
  <si>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</si>
  <si>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</si>
  <si>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</si>
  <si>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</si>
  <si>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</si>
  <si>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</si>
  <si>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</si>
  <si>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</si>
  <si>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</si>
  <si>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</si>
  <si>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</si>
  <si>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n</t>
  </si>
  <si>
    <t>p</t>
  </si>
  <si>
    <t>x1</t>
  </si>
  <si>
    <t>x2</t>
  </si>
  <si>
    <t>x3</t>
  </si>
  <si>
    <t>r</t>
  </si>
  <si>
    <t>s</t>
  </si>
  <si>
    <t>t</t>
  </si>
  <si>
    <t>u</t>
  </si>
  <si>
    <t>x1 (mps)</t>
  </si>
  <si>
    <t>imaginary</t>
  </si>
  <si>
    <t>V0 (mph)</t>
  </si>
  <si>
    <t>Avg. Gradient, climbing</t>
  </si>
  <si>
    <t>Vc (mph)</t>
  </si>
  <si>
    <t>Avg. Gradient, descending</t>
  </si>
  <si>
    <t>Vd (mph)</t>
  </si>
  <si>
    <t>Pc (power on climbs, watts)</t>
  </si>
  <si>
    <t>P0 (power on flats, watts)</t>
  </si>
  <si>
    <t>Pd (power on decents, watts)</t>
  </si>
  <si>
    <t>Descending elev, DE (ft)</t>
  </si>
  <si>
    <t>Descending dist, DD (mi)</t>
  </si>
  <si>
    <t>EFDc (mi)</t>
  </si>
  <si>
    <t>EFDd (mi)</t>
  </si>
  <si>
    <t>Total Time (Total EFD / V0)</t>
  </si>
  <si>
    <t>Total Time (Dflat/V0 + EFDc/Vc + EFDd/Vd)</t>
  </si>
  <si>
    <t xml:space="preserve">Total EFD (Distance + EFDc + EFDd, mi) </t>
  </si>
  <si>
    <t>Wind direction (0=headwind; 180=tailwind, deg)</t>
  </si>
  <si>
    <t>P0 (rider power on flats, watts)</t>
  </si>
  <si>
    <t>Pc (rider power on climbs, watts)</t>
  </si>
  <si>
    <t>Pd (rider power on descents, watts)</t>
  </si>
  <si>
    <r>
      <t>½ Area Coef</t>
    </r>
    <r>
      <rPr>
        <vertAlign val="subscript"/>
        <sz val="10"/>
        <rFont val="Arial"/>
        <family val="0"/>
      </rPr>
      <t>Drag</t>
    </r>
    <r>
      <rPr>
        <sz val="10"/>
        <rFont val="Arial"/>
        <family val="0"/>
      </rPr>
      <t xml:space="preserve"> D</t>
    </r>
    <r>
      <rPr>
        <vertAlign val="subscript"/>
        <sz val="10"/>
        <rFont val="Arial"/>
        <family val="0"/>
      </rPr>
      <t>air</t>
    </r>
    <r>
      <rPr>
        <sz val="10"/>
        <rFont val="Arial"/>
        <family val="0"/>
      </rPr>
      <t xml:space="preserve"> V</t>
    </r>
    <r>
      <rPr>
        <vertAlign val="subscript"/>
        <sz val="10"/>
        <rFont val="Arial"/>
        <family val="0"/>
      </rPr>
      <t>air</t>
    </r>
    <r>
      <rPr>
        <sz val="10"/>
        <rFont val="Arial"/>
        <family val="0"/>
      </rPr>
      <t>²</t>
    </r>
  </si>
  <si>
    <r>
      <t>9.8 W Coef</t>
    </r>
    <r>
      <rPr>
        <vertAlign val="subscript"/>
        <sz val="10"/>
        <rFont val="Arial"/>
        <family val="0"/>
      </rPr>
      <t>Roll</t>
    </r>
  </si>
  <si>
    <t>9.8 W grad</t>
  </si>
  <si>
    <t>Vair, mps (climbing)</t>
  </si>
  <si>
    <t>Vc, mps</t>
  </si>
  <si>
    <t>Pc, watts</t>
  </si>
  <si>
    <t>Fair</t>
  </si>
  <si>
    <t>slope</t>
  </si>
  <si>
    <t>Tom Jordan, tom@flacyclist.com</t>
  </si>
  <si>
    <t>Total EFD (Distance + EFDc + EFDd), mi</t>
  </si>
  <si>
    <t>Vfnw</t>
  </si>
  <si>
    <t>(V0/Vc - 1) * Dc</t>
  </si>
  <si>
    <t>(V0/Vd - 1) * Dd</t>
  </si>
  <si>
    <t>D + EFDc + EFDd</t>
  </si>
  <si>
    <t xml:space="preserve"> (Total EFD / V0)</t>
  </si>
  <si>
    <t>Eff w/wind - Eff w/o wind</t>
  </si>
  <si>
    <t>Without Wind</t>
  </si>
  <si>
    <t>EDc (mi)</t>
  </si>
  <si>
    <t>EDd (mi)</t>
  </si>
  <si>
    <t>EDO, Effective Overall Distance (total time / Vfnw), mi</t>
  </si>
  <si>
    <t>EDw, Extra distance due to wind alone, mi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</si>
</sst>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mmmm\ d\,\ yyyy"/>
    <numFmt numFmtId="172" formatCode="0.0%"/>
    <numFmt numFmtId="173" formatCode="0.00_);[Red]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%"/>
    <numFmt numFmtId="178" formatCode="0.0000000000"/>
    <numFmt numFmtId="179" formatCode="0.000000000"/>
  </numFmts>
  <fonts count="12">
    <font>
      <sz val="10"/>
      <name val="Arial"/>
      <family val="0"/>
    </font>
    <font>
      <b/>
      <sz val="20"/>
      <name val="Arial"/>
      <family val="2"/>
    </font>
    <font>
      <b/>
      <sz val="8"/>
      <name val="Tahoma"/>
      <family val="0"/>
    </font>
    <font>
      <sz val="10"/>
      <color indexed="48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color indexed="12"/>
      <name val="Verdana"/>
      <family val="2"/>
    </font>
    <font>
      <vertAlign val="sub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left" indent="1"/>
    </xf>
    <xf numFmtId="0" fontId="0" fillId="0" borderId="8" xfId="0" applyFill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46" fontId="5" fillId="0" borderId="4" xfId="0" applyNumberFormat="1" applyFont="1" applyBorder="1" applyAlignment="1">
      <alignment/>
    </xf>
    <xf numFmtId="46" fontId="5" fillId="0" borderId="13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0" fontId="5" fillId="0" borderId="4" xfId="21" applyNumberFormat="1" applyFont="1" applyBorder="1" applyAlignment="1">
      <alignment/>
    </xf>
    <xf numFmtId="170" fontId="0" fillId="0" borderId="0" xfId="0" applyNumberFormat="1" applyAlignment="1">
      <alignment/>
    </xf>
    <xf numFmtId="164" fontId="4" fillId="0" borderId="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72" fontId="5" fillId="0" borderId="0" xfId="21" applyNumberFormat="1" applyFont="1" applyAlignment="1">
      <alignment/>
    </xf>
    <xf numFmtId="0" fontId="5" fillId="3" borderId="14" xfId="0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21" applyNumberFormat="1" applyAlignment="1">
      <alignment/>
    </xf>
    <xf numFmtId="167" fontId="0" fillId="0" borderId="0" xfId="21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0" fontId="5" fillId="0" borderId="16" xfId="21" applyNumberFormat="1" applyFont="1" applyBorder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2" fontId="5" fillId="3" borderId="12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46" fontId="5" fillId="3" borderId="4" xfId="0" applyNumberFormat="1" applyFont="1" applyFill="1" applyBorder="1" applyAlignment="1">
      <alignment/>
    </xf>
    <xf numFmtId="2" fontId="0" fillId="3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895350</xdr:colOff>
      <xdr:row>2</xdr:row>
      <xdr:rowOff>114300</xdr:rowOff>
    </xdr:to>
    <xdr:pic>
      <xdr:nvPicPr>
        <xdr:cNvPr id="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7"/>
  <sheetViews>
    <sheetView tabSelected="1" workbookViewId="0" topLeftCell="A25">
      <selection activeCell="A116" sqref="A116"/>
    </sheetView>
  </sheetViews>
  <sheetFormatPr defaultColWidth="9.140625" defaultRowHeight="12.75"/>
  <cols>
    <col min="1" max="1" width="47.57421875" style="0" customWidth="1"/>
    <col min="2" max="2" width="11.00390625" style="2" customWidth="1"/>
    <col min="3" max="3" width="13.7109375" style="0" bestFit="1" customWidth="1"/>
    <col min="4" max="4" width="16.57421875" style="0" customWidth="1"/>
    <col min="5" max="5" width="10.421875" style="0" customWidth="1"/>
    <col min="6" max="6" width="13.8515625" style="0" customWidth="1"/>
  </cols>
  <sheetData>
    <row r="1" ht="53.25" customHeight="1">
      <c r="B1"/>
    </row>
    <row r="2" spans="1:2" ht="12.75">
      <c r="A2" s="4">
        <v>38741</v>
      </c>
      <c r="B2"/>
    </row>
    <row r="3" spans="1:7" ht="18" customHeight="1">
      <c r="A3" s="4" t="s">
        <v>80</v>
      </c>
      <c r="B3" s="3"/>
      <c r="C3" s="3"/>
      <c r="D3" s="3"/>
      <c r="E3" s="3"/>
      <c r="F3" s="3"/>
      <c r="G3" s="3"/>
    </row>
    <row r="4" spans="2:3" ht="12.75">
      <c r="B4" s="5"/>
      <c r="C4" s="5"/>
    </row>
    <row r="5" spans="1:2" ht="12.75">
      <c r="A5" s="8" t="s">
        <v>15</v>
      </c>
      <c r="B5" s="9"/>
    </row>
    <row r="6" spans="1:2" ht="12.75">
      <c r="A6" s="10" t="s">
        <v>16</v>
      </c>
      <c r="B6" s="11">
        <v>100</v>
      </c>
    </row>
    <row r="7" spans="1:2" ht="12.75">
      <c r="A7" s="10" t="s">
        <v>17</v>
      </c>
      <c r="B7" s="11">
        <v>2000</v>
      </c>
    </row>
    <row r="8" spans="1:4" ht="12.75">
      <c r="A8" s="10" t="s">
        <v>18</v>
      </c>
      <c r="B8" s="11">
        <v>33</v>
      </c>
      <c r="C8" s="36">
        <f>B7/(5280*B8)</f>
        <v>0.01147842056932966</v>
      </c>
      <c r="D8" t="s">
        <v>79</v>
      </c>
    </row>
    <row r="9" spans="1:2" ht="12.75">
      <c r="A9" s="10" t="s">
        <v>61</v>
      </c>
      <c r="B9" s="11">
        <v>2000</v>
      </c>
    </row>
    <row r="10" spans="1:4" ht="12.75">
      <c r="A10" s="10" t="s">
        <v>62</v>
      </c>
      <c r="B10" s="11">
        <v>33</v>
      </c>
      <c r="C10" s="36">
        <f>B9/(5280*B10)</f>
        <v>0.01147842056932966</v>
      </c>
      <c r="D10" t="s">
        <v>79</v>
      </c>
    </row>
    <row r="11" spans="1:2" ht="12.75">
      <c r="A11" s="12" t="s">
        <v>19</v>
      </c>
      <c r="B11" s="13"/>
    </row>
    <row r="12" spans="1:2" ht="12.75">
      <c r="A12" s="10" t="s">
        <v>59</v>
      </c>
      <c r="B12" s="11">
        <v>125</v>
      </c>
    </row>
    <row r="13" spans="1:6" ht="12.75">
      <c r="A13" s="10" t="s">
        <v>58</v>
      </c>
      <c r="B13" s="11">
        <v>125</v>
      </c>
      <c r="D13" t="s">
        <v>76</v>
      </c>
      <c r="E13" s="35">
        <f>(B81*1609/3600)</f>
        <v>5.0837357737168185</v>
      </c>
      <c r="F13" s="1"/>
    </row>
    <row r="14" spans="1:6" ht="12.75">
      <c r="A14" s="10" t="s">
        <v>60</v>
      </c>
      <c r="B14" s="11">
        <v>125</v>
      </c>
      <c r="D14" t="s">
        <v>75</v>
      </c>
      <c r="E14" s="35">
        <f>B55+E13</f>
        <v>7.31845799593904</v>
      </c>
      <c r="F14" s="35">
        <f>E14*3600/1609</f>
        <v>16.374424353872307</v>
      </c>
    </row>
    <row r="15" spans="1:6" ht="15.75">
      <c r="A15" s="10" t="s">
        <v>20</v>
      </c>
      <c r="B15" s="11">
        <v>0.693</v>
      </c>
      <c r="D15" t="s">
        <v>78</v>
      </c>
      <c r="E15" s="37">
        <f>0.5*B15*B16*B23*E14*E14</f>
        <v>11.376790299714742</v>
      </c>
      <c r="F15" t="s">
        <v>72</v>
      </c>
    </row>
    <row r="16" spans="1:9" ht="15.75">
      <c r="A16" s="10" t="s">
        <v>3</v>
      </c>
      <c r="B16" s="11">
        <v>0.5</v>
      </c>
      <c r="D16" t="s">
        <v>7</v>
      </c>
      <c r="E16" s="37">
        <f>9.8*B17*B18</f>
        <v>3.4139280000000003</v>
      </c>
      <c r="F16" t="s">
        <v>73</v>
      </c>
      <c r="H16" s="34"/>
      <c r="I16" s="34"/>
    </row>
    <row r="17" spans="1:9" ht="12.75">
      <c r="A17" s="10" t="s">
        <v>21</v>
      </c>
      <c r="B17" s="11">
        <v>87.09</v>
      </c>
      <c r="C17">
        <f>B17*2.204622</f>
        <v>192.00052998</v>
      </c>
      <c r="D17" t="s">
        <v>8</v>
      </c>
      <c r="E17" s="37">
        <f>9.8*B17*B56</f>
        <v>9.795980035151006</v>
      </c>
      <c r="F17" t="s">
        <v>74</v>
      </c>
      <c r="H17" s="38"/>
      <c r="I17" s="38"/>
    </row>
    <row r="18" spans="1:5" ht="12.75">
      <c r="A18" s="10" t="s">
        <v>22</v>
      </c>
      <c r="B18" s="11">
        <v>0.004</v>
      </c>
      <c r="D18" t="s">
        <v>9</v>
      </c>
      <c r="E18" s="34">
        <f>SUM(E15:E17)</f>
        <v>24.586698334865748</v>
      </c>
    </row>
    <row r="19" spans="1:5" ht="12.75">
      <c r="A19" s="12" t="s">
        <v>23</v>
      </c>
      <c r="B19" s="13"/>
      <c r="D19" t="s">
        <v>77</v>
      </c>
      <c r="E19" s="34">
        <f>E18*E13</f>
        <v>124.99227788254073</v>
      </c>
    </row>
    <row r="20" spans="1:2" ht="12.75">
      <c r="A20" s="10" t="s">
        <v>24</v>
      </c>
      <c r="B20" s="11">
        <v>56.5</v>
      </c>
    </row>
    <row r="21" spans="1:2" ht="12.75">
      <c r="A21" s="10" t="s">
        <v>25</v>
      </c>
      <c r="B21" s="11">
        <v>29.95</v>
      </c>
    </row>
    <row r="22" spans="1:2" ht="12.75">
      <c r="A22" s="10" t="s">
        <v>26</v>
      </c>
      <c r="B22" s="11">
        <v>0</v>
      </c>
    </row>
    <row r="23" spans="1:10" ht="12.75">
      <c r="A23" s="10" t="s">
        <v>27</v>
      </c>
      <c r="B23" s="32">
        <f>+(0.709373646390374*B$21*(29.7871-0.000963167*B$22))/(459.67+B$20)</f>
        <v>1.2260476259463382</v>
      </c>
      <c r="C23" s="33"/>
      <c r="D23" s="7"/>
      <c r="G23" s="39"/>
      <c r="H23" s="39"/>
      <c r="I23" s="39"/>
      <c r="J23" s="40"/>
    </row>
    <row r="24" spans="1:2" ht="12.75">
      <c r="A24" s="10" t="s">
        <v>28</v>
      </c>
      <c r="B24" s="11">
        <v>5</v>
      </c>
    </row>
    <row r="25" spans="1:10" ht="13.5" thickBot="1">
      <c r="A25" s="14" t="s">
        <v>68</v>
      </c>
      <c r="B25" s="15">
        <v>0</v>
      </c>
      <c r="C25" s="49" t="s">
        <v>88</v>
      </c>
      <c r="G25" s="38"/>
      <c r="H25" s="38"/>
      <c r="I25" s="38"/>
      <c r="J25" s="38"/>
    </row>
    <row r="26" spans="1:3" ht="13.5" thickTop="1">
      <c r="A26" s="16" t="s">
        <v>69</v>
      </c>
      <c r="B26" s="21">
        <f>B12</f>
        <v>125</v>
      </c>
      <c r="C26" s="21">
        <f>B12</f>
        <v>125</v>
      </c>
    </row>
    <row r="27" spans="1:3" ht="12.75">
      <c r="A27" s="16" t="s">
        <v>29</v>
      </c>
      <c r="B27" s="23">
        <f>B$24*COS(B$25*2*PI()/360)*1609/3600</f>
        <v>2.234722222222222</v>
      </c>
      <c r="C27" s="23">
        <v>0</v>
      </c>
    </row>
    <row r="28" spans="1:3" ht="12.75">
      <c r="A28" s="16" t="s">
        <v>30</v>
      </c>
      <c r="B28" s="21">
        <v>0</v>
      </c>
      <c r="C28" s="21">
        <v>0</v>
      </c>
    </row>
    <row r="29" spans="1:3" ht="12.75" hidden="1">
      <c r="A29" s="16" t="s">
        <v>31</v>
      </c>
      <c r="B29" s="22">
        <f>0.5*B$15*B$16*B$23</f>
        <v>0.2124127511952031</v>
      </c>
      <c r="C29" s="22">
        <f>0.5*B$15*B$16*B$23</f>
        <v>0.2124127511952031</v>
      </c>
    </row>
    <row r="30" spans="1:3" ht="12.75" hidden="1">
      <c r="A30" s="16" t="s">
        <v>32</v>
      </c>
      <c r="B30" s="21">
        <f>2*B29*B27</f>
        <v>0.9493669907585603</v>
      </c>
      <c r="C30" s="21">
        <f>2*C29*C27</f>
        <v>0</v>
      </c>
    </row>
    <row r="31" spans="1:3" ht="12.75" hidden="1">
      <c r="A31" s="16" t="s">
        <v>33</v>
      </c>
      <c r="B31" s="21">
        <f>B29*B27^2+9.8*B$17*(B$18+B28)</f>
        <v>4.4747137556461976</v>
      </c>
      <c r="C31" s="21">
        <f>9.8*B$17*(B$18+B28)</f>
        <v>3.4139280000000003</v>
      </c>
    </row>
    <row r="32" spans="1:3" ht="12.75" hidden="1">
      <c r="A32" s="16" t="s">
        <v>34</v>
      </c>
      <c r="B32" s="21">
        <f>-B26</f>
        <v>-125</v>
      </c>
      <c r="C32" s="21">
        <f>-C26</f>
        <v>-125</v>
      </c>
    </row>
    <row r="33" spans="1:3" ht="12.75" hidden="1">
      <c r="A33" s="16" t="s">
        <v>35</v>
      </c>
      <c r="B33" s="21">
        <f>(3*B31/B29-B30^2/B29^2)/3</f>
        <v>14.407481334797788</v>
      </c>
      <c r="C33" s="21">
        <f>(3*C31/C29-C30^2/C29^2)/3</f>
        <v>16.07214247162906</v>
      </c>
    </row>
    <row r="34" spans="1:3" ht="12.75" hidden="1">
      <c r="A34" s="16" t="s">
        <v>36</v>
      </c>
      <c r="B34" s="21">
        <f>(2*B30^3/B29^3-9*B30*B31/B29^2+27*B32/B29)/27</f>
        <v>-613.2481074059308</v>
      </c>
      <c r="C34" s="21">
        <f>(2*C30^3/C29^3-9*C30*C31/C29^2+27*C32/C29)/27</f>
        <v>-588.4769125047841</v>
      </c>
    </row>
    <row r="35" spans="1:3" ht="12.75" hidden="1">
      <c r="A35" s="16" t="s">
        <v>37</v>
      </c>
      <c r="B35" s="21">
        <f>B34^2/4+B33^3/27</f>
        <v>94129.07476876085</v>
      </c>
      <c r="C35" s="21">
        <f>C34^2/4+C33^3/27</f>
        <v>86730.03416043591</v>
      </c>
    </row>
    <row r="36" spans="1:3" ht="12.75" hidden="1">
      <c r="A36" s="16" t="s">
        <v>38</v>
      </c>
      <c r="B36" s="21" t="e">
        <f>(B34^2/4-B35)^0.5</f>
        <v>#NUM!</v>
      </c>
      <c r="C36" s="21" t="e">
        <f>(C34^2/4-C35)^0.5</f>
        <v>#NUM!</v>
      </c>
    </row>
    <row r="37" spans="1:3" ht="12.75" hidden="1">
      <c r="A37" s="16" t="s">
        <v>39</v>
      </c>
      <c r="B37" s="21" t="e">
        <f>B36^0.33333</f>
        <v>#NUM!</v>
      </c>
      <c r="C37" s="21" t="e">
        <f>C36^0.33333</f>
        <v>#NUM!</v>
      </c>
    </row>
    <row r="38" spans="1:3" ht="12.75" hidden="1">
      <c r="A38" s="16" t="s">
        <v>40</v>
      </c>
      <c r="B38" s="21" t="e">
        <f>ACOS(-(B34/(2*B36)))</f>
        <v>#NUM!</v>
      </c>
      <c r="C38" s="21" t="e">
        <f>ACOS(-(C34/(2*C36)))</f>
        <v>#NUM!</v>
      </c>
    </row>
    <row r="39" spans="1:3" ht="12.75" hidden="1">
      <c r="A39" s="16" t="s">
        <v>41</v>
      </c>
      <c r="B39" s="21" t="e">
        <f>-B37</f>
        <v>#NUM!</v>
      </c>
      <c r="C39" s="21" t="e">
        <f>-C37</f>
        <v>#NUM!</v>
      </c>
    </row>
    <row r="40" spans="1:3" ht="12.75" hidden="1">
      <c r="A40" s="16" t="s">
        <v>0</v>
      </c>
      <c r="B40" s="21" t="e">
        <f>COS(B38/3)</f>
        <v>#NUM!</v>
      </c>
      <c r="C40" s="21" t="e">
        <f>COS(C38/3)</f>
        <v>#NUM!</v>
      </c>
    </row>
    <row r="41" spans="1:3" ht="12.75" hidden="1">
      <c r="A41" s="16" t="s">
        <v>42</v>
      </c>
      <c r="B41" s="21" t="e">
        <f>3^0.5*SIN(B38/3)</f>
        <v>#NUM!</v>
      </c>
      <c r="C41" s="21" t="e">
        <f>3^0.5*SIN(C38/3)</f>
        <v>#NUM!</v>
      </c>
    </row>
    <row r="42" spans="1:3" ht="12.75" hidden="1">
      <c r="A42" s="16" t="s">
        <v>43</v>
      </c>
      <c r="B42" s="21">
        <f>-(B30/(3*B29))</f>
        <v>-1.4898148148148147</v>
      </c>
      <c r="C42" s="21">
        <f>-(C30/(3*C29))</f>
        <v>0</v>
      </c>
    </row>
    <row r="43" spans="1:3" ht="12.75" hidden="1">
      <c r="A43" s="16" t="s">
        <v>44</v>
      </c>
      <c r="B43" s="21" t="e">
        <f>2*B37*COS(B38/3)-(B30/(3*B29))</f>
        <v>#NUM!</v>
      </c>
      <c r="C43" s="21" t="e">
        <f>2*C37*COS(C38/3)-(C30/(3*C29))</f>
        <v>#NUM!</v>
      </c>
    </row>
    <row r="44" spans="1:3" ht="12.75" hidden="1">
      <c r="A44" s="16" t="s">
        <v>45</v>
      </c>
      <c r="B44" s="21" t="e">
        <f>B39*(B40+B41)+B42</f>
        <v>#NUM!</v>
      </c>
      <c r="C44" s="21" t="e">
        <f>C39*(C40+C41)+C42</f>
        <v>#NUM!</v>
      </c>
    </row>
    <row r="45" spans="1:3" ht="12.75" hidden="1">
      <c r="A45" s="16" t="s">
        <v>46</v>
      </c>
      <c r="B45" s="21" t="e">
        <f>B39*(B40-B41)+B42</f>
        <v>#NUM!</v>
      </c>
      <c r="C45" s="21" t="e">
        <f>C39*(C40-C41)+C42</f>
        <v>#NUM!</v>
      </c>
    </row>
    <row r="46" spans="1:3" ht="12.75" hidden="1">
      <c r="A46" s="16" t="s">
        <v>47</v>
      </c>
      <c r="B46" s="21">
        <f>-(B34/2)+B35^0.5</f>
        <v>613.4286735651194</v>
      </c>
      <c r="C46" s="21">
        <f>-(C34/2)+C35^0.5</f>
        <v>588.7380898012912</v>
      </c>
    </row>
    <row r="47" spans="1:3" ht="12.75" hidden="1">
      <c r="A47" s="16" t="s">
        <v>48</v>
      </c>
      <c r="B47" s="21">
        <f>B46^0.33333</f>
        <v>8.496604403561706</v>
      </c>
      <c r="C47" s="21">
        <f>C46^0.33333</f>
        <v>8.381044470611004</v>
      </c>
    </row>
    <row r="48" spans="1:3" ht="12.75" hidden="1">
      <c r="A48" s="16" t="s">
        <v>49</v>
      </c>
      <c r="B48" s="21">
        <f>-(B34/2)-B35^0.5</f>
        <v>-0.18056615918862917</v>
      </c>
      <c r="C48" s="21">
        <f>-(C34/2)-C35^0.5</f>
        <v>-0.2611772965071282</v>
      </c>
    </row>
    <row r="49" spans="1:3" ht="12.75" hidden="1">
      <c r="A49" s="16" t="s">
        <v>50</v>
      </c>
      <c r="B49" s="21">
        <f>IF(B48&gt;=0,B48^0.333333,-(-B48^0.333333))</f>
        <v>-0.5652132937937885</v>
      </c>
      <c r="C49" s="21">
        <f>IF(C48&gt;=0,C48^0.333333,-(-C48^0.333333))</f>
        <v>-0.6392126117174757</v>
      </c>
    </row>
    <row r="50" spans="1:3" ht="12.75" hidden="1">
      <c r="A50" s="16" t="s">
        <v>51</v>
      </c>
      <c r="B50" s="17">
        <f>B47+B49-(B30/(3*B29))</f>
        <v>6.441576294953103</v>
      </c>
      <c r="C50" s="17">
        <f>C47+C49-(C30/(3*C29))</f>
        <v>7.741831858893528</v>
      </c>
    </row>
    <row r="51" spans="1:3" ht="12.75" hidden="1">
      <c r="A51" s="16" t="s">
        <v>45</v>
      </c>
      <c r="B51" s="21" t="s">
        <v>52</v>
      </c>
      <c r="C51" s="21" t="s">
        <v>52</v>
      </c>
    </row>
    <row r="52" spans="1:3" ht="12.75" hidden="1">
      <c r="A52" s="16" t="s">
        <v>46</v>
      </c>
      <c r="B52" s="21" t="s">
        <v>52</v>
      </c>
      <c r="C52" s="21" t="s">
        <v>52</v>
      </c>
    </row>
    <row r="53" spans="1:4" ht="12.75">
      <c r="A53" s="16" t="s">
        <v>53</v>
      </c>
      <c r="B53" s="29">
        <f>IF(B35&lt;0,B43,B50)*3600/1609</f>
        <v>14.412476483425214</v>
      </c>
      <c r="C53" s="29">
        <f>IF(C35&lt;0,C43,C50)*3600/1609</f>
        <v>17.321687192055126</v>
      </c>
      <c r="D53" t="s">
        <v>82</v>
      </c>
    </row>
    <row r="54" spans="1:3" ht="12.75">
      <c r="A54" s="18" t="s">
        <v>70</v>
      </c>
      <c r="B54" s="24">
        <f>B13</f>
        <v>125</v>
      </c>
      <c r="C54" s="45">
        <f>B54</f>
        <v>125</v>
      </c>
    </row>
    <row r="55" spans="1:3" ht="12.75">
      <c r="A55" s="16" t="s">
        <v>29</v>
      </c>
      <c r="B55" s="23">
        <f>B$27</f>
        <v>2.234722222222222</v>
      </c>
      <c r="C55" s="46">
        <v>0</v>
      </c>
    </row>
    <row r="56" spans="1:3" ht="12.75">
      <c r="A56" s="16" t="s">
        <v>54</v>
      </c>
      <c r="B56" s="30">
        <f>B7/(SQRT((B7/5280)^2+B8^2)*5280)</f>
        <v>0.011477664479334074</v>
      </c>
      <c r="C56" s="47">
        <f>B56</f>
        <v>0.011477664479334074</v>
      </c>
    </row>
    <row r="57" spans="1:3" ht="12.75" hidden="1">
      <c r="A57" s="16" t="s">
        <v>31</v>
      </c>
      <c r="B57" s="22">
        <f>0.5*B$15*B$16*B$23</f>
        <v>0.2124127511952031</v>
      </c>
      <c r="C57" s="46">
        <f>B57</f>
        <v>0.2124127511952031</v>
      </c>
    </row>
    <row r="58" spans="1:3" ht="12.75" hidden="1">
      <c r="A58" s="16" t="s">
        <v>32</v>
      </c>
      <c r="B58" s="21">
        <f>2*B57*B55</f>
        <v>0.9493669907585603</v>
      </c>
      <c r="C58" s="46">
        <f>2*C57*C55</f>
        <v>0</v>
      </c>
    </row>
    <row r="59" spans="1:3" ht="12.75" hidden="1">
      <c r="A59" s="16" t="s">
        <v>33</v>
      </c>
      <c r="B59" s="21">
        <f>B57*B55^2+9.8*B$17*(B$18+B56)</f>
        <v>14.270693790797203</v>
      </c>
      <c r="C59" s="46">
        <f>9.8*B$17*(B$18+C56)</f>
        <v>13.209908035151006</v>
      </c>
    </row>
    <row r="60" spans="1:3" ht="12.75" hidden="1">
      <c r="A60" s="16" t="s">
        <v>34</v>
      </c>
      <c r="B60" s="21">
        <f>-B54</f>
        <v>-125</v>
      </c>
      <c r="C60" s="46">
        <f>B60</f>
        <v>-125</v>
      </c>
    </row>
    <row r="61" spans="1:3" ht="12.75" hidden="1">
      <c r="A61" s="16" t="s">
        <v>35</v>
      </c>
      <c r="B61" s="21">
        <f>(3*B59/B57-B58^2/B57^2)/3</f>
        <v>60.525146023151144</v>
      </c>
      <c r="C61" s="21">
        <f>(3*C59/C57-C58^2/C57^2)/3</f>
        <v>62.18980715998243</v>
      </c>
    </row>
    <row r="62" spans="1:3" ht="12.75" hidden="1">
      <c r="A62" s="16" t="s">
        <v>36</v>
      </c>
      <c r="B62" s="21">
        <f>(2*B58^3/B57^3-9*B58*B59/B57^2+27*B60/B57)/27</f>
        <v>-681.9548874833016</v>
      </c>
      <c r="C62" s="21">
        <f>(2*C58^3/C57^3-9*C58*C59/C57^2+27*C60/C57)/27</f>
        <v>-588.4769125047841</v>
      </c>
    </row>
    <row r="63" spans="1:3" ht="12.75" hidden="1">
      <c r="A63" s="16" t="s">
        <v>37</v>
      </c>
      <c r="B63" s="21">
        <f>B62^2/4+B61^3/27</f>
        <v>124477.51943600351</v>
      </c>
      <c r="C63" s="21">
        <f>C62^2/4+C61^3/27</f>
        <v>95484.54928534779</v>
      </c>
    </row>
    <row r="64" spans="1:3" ht="12.75" hidden="1">
      <c r="A64" s="16" t="s">
        <v>38</v>
      </c>
      <c r="B64" s="21" t="e">
        <f>(B62^2/4-B63)^0.5</f>
        <v>#NUM!</v>
      </c>
      <c r="C64" s="21" t="e">
        <f>(C62^2/4-C63)^0.5</f>
        <v>#NUM!</v>
      </c>
    </row>
    <row r="65" spans="1:3" ht="12.75" hidden="1">
      <c r="A65" s="16" t="s">
        <v>39</v>
      </c>
      <c r="B65" s="21" t="e">
        <f>B64^0.33333</f>
        <v>#NUM!</v>
      </c>
      <c r="C65" s="21" t="e">
        <f>C64^0.33333</f>
        <v>#NUM!</v>
      </c>
    </row>
    <row r="66" spans="1:3" ht="12.75" hidden="1">
      <c r="A66" s="16" t="s">
        <v>40</v>
      </c>
      <c r="B66" s="21" t="e">
        <f>ACOS(-(B62/(2*B64)))</f>
        <v>#NUM!</v>
      </c>
      <c r="C66" s="21" t="e">
        <f>ACOS(-(C62/(2*C64)))</f>
        <v>#NUM!</v>
      </c>
    </row>
    <row r="67" spans="1:3" ht="12.75" hidden="1">
      <c r="A67" s="16" t="s">
        <v>41</v>
      </c>
      <c r="B67" s="21" t="e">
        <f>-B65</f>
        <v>#NUM!</v>
      </c>
      <c r="C67" s="21" t="e">
        <f>-C65</f>
        <v>#NUM!</v>
      </c>
    </row>
    <row r="68" spans="1:3" ht="12.75" hidden="1">
      <c r="A68" s="16" t="s">
        <v>0</v>
      </c>
      <c r="B68" s="21" t="e">
        <f>COS(B66/3)</f>
        <v>#NUM!</v>
      </c>
      <c r="C68" s="21" t="e">
        <f>COS(C66/3)</f>
        <v>#NUM!</v>
      </c>
    </row>
    <row r="69" spans="1:3" ht="12.75" hidden="1">
      <c r="A69" s="16" t="s">
        <v>42</v>
      </c>
      <c r="B69" s="21" t="e">
        <f>3^0.5*SIN(B66/3)</f>
        <v>#NUM!</v>
      </c>
      <c r="C69" s="21" t="e">
        <f>3^0.5*SIN(C66/3)</f>
        <v>#NUM!</v>
      </c>
    </row>
    <row r="70" spans="1:3" ht="12.75" hidden="1">
      <c r="A70" s="16" t="s">
        <v>43</v>
      </c>
      <c r="B70" s="21">
        <f>-(B58/(3*B57))</f>
        <v>-1.4898148148148147</v>
      </c>
      <c r="C70" s="21">
        <f>-(C58/(3*C57))</f>
        <v>0</v>
      </c>
    </row>
    <row r="71" spans="1:3" ht="12.75" hidden="1">
      <c r="A71" s="16" t="s">
        <v>44</v>
      </c>
      <c r="B71" s="21" t="e">
        <f>2*B65*COS(B66/3)-(B58/(3*B57))</f>
        <v>#NUM!</v>
      </c>
      <c r="C71" s="21" t="e">
        <f>2*C65*COS(C66/3)-(C58/(3*C57))</f>
        <v>#NUM!</v>
      </c>
    </row>
    <row r="72" spans="1:3" ht="12.75" hidden="1">
      <c r="A72" s="16" t="s">
        <v>45</v>
      </c>
      <c r="B72" s="21" t="e">
        <f>B67*(B68+B69)+B70</f>
        <v>#NUM!</v>
      </c>
      <c r="C72" s="21" t="e">
        <f>C67*(C68+C69)+C70</f>
        <v>#NUM!</v>
      </c>
    </row>
    <row r="73" spans="1:3" ht="12.75" hidden="1">
      <c r="A73" s="16" t="s">
        <v>46</v>
      </c>
      <c r="B73" s="21" t="e">
        <f>B67*(B68-B69)+B70</f>
        <v>#NUM!</v>
      </c>
      <c r="C73" s="21" t="e">
        <f>C67*(C68-C69)+C70</f>
        <v>#NUM!</v>
      </c>
    </row>
    <row r="74" spans="1:3" ht="12.75" hidden="1">
      <c r="A74" s="16" t="s">
        <v>47</v>
      </c>
      <c r="B74" s="21">
        <f>-(B62/2)+B63^0.5</f>
        <v>693.7911614965072</v>
      </c>
      <c r="C74" s="21">
        <f>-(C62/2)+C63^0.5</f>
        <v>603.2441993791952</v>
      </c>
    </row>
    <row r="75" spans="1:3" ht="12.75" hidden="1">
      <c r="A75" s="16" t="s">
        <v>48</v>
      </c>
      <c r="B75" s="21">
        <f>B74^0.33333</f>
        <v>8.852517287372802</v>
      </c>
      <c r="C75" s="21">
        <f>C74^0.33333</f>
        <v>8.449320482588092</v>
      </c>
    </row>
    <row r="76" spans="1:3" ht="12.75" hidden="1">
      <c r="A76" s="16" t="s">
        <v>49</v>
      </c>
      <c r="B76" s="21">
        <f>-(B62/2)-B63^0.5</f>
        <v>-11.836274013205639</v>
      </c>
      <c r="C76" s="21">
        <f>-(C62/2)-C63^0.5</f>
        <v>-14.767286874411013</v>
      </c>
    </row>
    <row r="77" spans="1:3" ht="12.75" hidden="1">
      <c r="A77" s="16" t="s">
        <v>50</v>
      </c>
      <c r="B77" s="21">
        <f>IF(B76&gt;=0,B76^0.333333,-(-B76^0.333333))</f>
        <v>-2.278966698841169</v>
      </c>
      <c r="C77" s="21">
        <f>IF(C76&gt;=0,C76^0.333333,-(-C76^0.333333))</f>
        <v>-2.453389567152536</v>
      </c>
    </row>
    <row r="78" spans="1:3" ht="12.75" hidden="1">
      <c r="A78" s="16" t="s">
        <v>51</v>
      </c>
      <c r="B78" s="17">
        <f>B75+B77-(B58/(3*B57))</f>
        <v>5.0837357737168185</v>
      </c>
      <c r="C78" s="17">
        <f>C75+C77-(C58/(3*C57))</f>
        <v>5.995930915435556</v>
      </c>
    </row>
    <row r="79" spans="1:3" ht="12.75" hidden="1">
      <c r="A79" s="16" t="s">
        <v>45</v>
      </c>
      <c r="B79" s="21" t="s">
        <v>52</v>
      </c>
      <c r="C79" s="21" t="s">
        <v>52</v>
      </c>
    </row>
    <row r="80" spans="1:3" ht="12.75" hidden="1">
      <c r="A80" s="16" t="s">
        <v>46</v>
      </c>
      <c r="B80" s="21" t="s">
        <v>52</v>
      </c>
      <c r="C80" s="21" t="s">
        <v>52</v>
      </c>
    </row>
    <row r="81" spans="1:3" ht="12.75">
      <c r="A81" s="16" t="s">
        <v>55</v>
      </c>
      <c r="B81" s="29">
        <f>IF(B63&lt;0,B71,B78)*3600/1609</f>
        <v>11.37442435387231</v>
      </c>
      <c r="C81" s="29">
        <f>IF(C63&lt;0,C71,C78)*3600/1609</f>
        <v>13.41538303018521</v>
      </c>
    </row>
    <row r="82" spans="1:3" ht="12.75">
      <c r="A82" s="18" t="s">
        <v>71</v>
      </c>
      <c r="B82" s="24">
        <f>B14</f>
        <v>125</v>
      </c>
      <c r="C82" s="24">
        <f>B82</f>
        <v>125</v>
      </c>
    </row>
    <row r="83" spans="1:3" ht="12.75">
      <c r="A83" s="16" t="s">
        <v>29</v>
      </c>
      <c r="B83" s="23">
        <f>B$24*1609/3600*COS(B$25*2*PI()/360)</f>
        <v>2.234722222222222</v>
      </c>
      <c r="C83" s="23">
        <v>0</v>
      </c>
    </row>
    <row r="84" spans="1:3" ht="12.75">
      <c r="A84" s="16" t="s">
        <v>56</v>
      </c>
      <c r="B84" s="30">
        <f>-B9/(SQRT((B9/5280)^2+B10^2)*5280)</f>
        <v>-0.011477664479334074</v>
      </c>
      <c r="C84" s="30">
        <f>B84</f>
        <v>-0.011477664479334074</v>
      </c>
    </row>
    <row r="85" spans="1:3" ht="12.75" hidden="1">
      <c r="A85" s="16" t="s">
        <v>31</v>
      </c>
      <c r="B85" s="22">
        <f>0.5*B$15*B$16*B$23</f>
        <v>0.2124127511952031</v>
      </c>
      <c r="C85" s="22">
        <f>B85</f>
        <v>0.2124127511952031</v>
      </c>
    </row>
    <row r="86" spans="1:3" ht="12.75" hidden="1">
      <c r="A86" s="16" t="s">
        <v>32</v>
      </c>
      <c r="B86" s="21">
        <f>2*B85*B83</f>
        <v>0.9493669907585603</v>
      </c>
      <c r="C86" s="21">
        <f>2*C85*C83</f>
        <v>0</v>
      </c>
    </row>
    <row r="87" spans="1:3" ht="12.75" hidden="1">
      <c r="A87" s="16" t="s">
        <v>33</v>
      </c>
      <c r="B87" s="21">
        <f>B85*B83^2+9.8*B$17*(B$18+B84)</f>
        <v>-5.321266279504808</v>
      </c>
      <c r="C87" s="21">
        <f>9.8*B$17*(B$18+C84)</f>
        <v>-6.3820520351510055</v>
      </c>
    </row>
    <row r="88" spans="1:3" ht="12.75" hidden="1">
      <c r="A88" s="16" t="s">
        <v>34</v>
      </c>
      <c r="B88" s="21">
        <f>-B82</f>
        <v>-125</v>
      </c>
      <c r="C88" s="21">
        <f>-C82</f>
        <v>-125</v>
      </c>
    </row>
    <row r="89" spans="1:3" ht="12.75" hidden="1">
      <c r="A89" s="16" t="s">
        <v>35</v>
      </c>
      <c r="B89" s="21">
        <f>(3*B87/B85-B86^2/B85^2)/3</f>
        <v>-31.710183353555575</v>
      </c>
      <c r="C89" s="21">
        <f>(3*C87/C85-C86^2/C85^2)/3</f>
        <v>-30.045522216724297</v>
      </c>
    </row>
    <row r="90" spans="1:3" ht="12.75" hidden="1">
      <c r="A90" s="16" t="s">
        <v>36</v>
      </c>
      <c r="B90" s="21">
        <f>(2*B86^3/B85^3-9*B86*B87/B85^2+27*B88/B85)/27</f>
        <v>-544.5413273285599</v>
      </c>
      <c r="C90" s="21">
        <f>(2*C86^3/C85^3-9*C86*C87/C85^2+27*C88/C85)/27</f>
        <v>-588.4769125047841</v>
      </c>
    </row>
    <row r="91" spans="1:3" ht="12.75" hidden="1">
      <c r="A91" s="16" t="s">
        <v>37</v>
      </c>
      <c r="B91" s="21">
        <f>B90^2/4+B89^3/27</f>
        <v>72950.36161391134</v>
      </c>
      <c r="C91" s="21">
        <f>C90^2/4+C89^3/27</f>
        <v>85571.71000505047</v>
      </c>
    </row>
    <row r="92" spans="1:3" ht="12.75" hidden="1">
      <c r="A92" s="16" t="s">
        <v>38</v>
      </c>
      <c r="B92" s="21">
        <f>(B90^2/4-B91)^0.5</f>
        <v>34.364992045337495</v>
      </c>
      <c r="C92" s="21">
        <f>(C90^2/4-C91)^0.5</f>
        <v>31.694780843860595</v>
      </c>
    </row>
    <row r="93" spans="1:3" ht="12.75" hidden="1">
      <c r="A93" s="16" t="s">
        <v>39</v>
      </c>
      <c r="B93" s="21">
        <f>B92^0.33333</f>
        <v>3.2511247093960054</v>
      </c>
      <c r="C93" s="21">
        <f>C92^0.33333</f>
        <v>3.164639523727604</v>
      </c>
    </row>
    <row r="94" spans="1:3" ht="12.75" hidden="1">
      <c r="A94" s="16" t="s">
        <v>40</v>
      </c>
      <c r="B94" s="21" t="e">
        <f>ACOS(-(B90/(2*B92)))</f>
        <v>#NUM!</v>
      </c>
      <c r="C94" s="21" t="e">
        <f>ACOS(-(C90/(2*C92)))</f>
        <v>#NUM!</v>
      </c>
    </row>
    <row r="95" spans="1:3" ht="12.75" hidden="1">
      <c r="A95" s="16" t="s">
        <v>41</v>
      </c>
      <c r="B95" s="21">
        <f>-B93</f>
        <v>-3.2511247093960054</v>
      </c>
      <c r="C95" s="21">
        <f>-C93</f>
        <v>-3.164639523727604</v>
      </c>
    </row>
    <row r="96" spans="1:3" ht="12.75" hidden="1">
      <c r="A96" s="16" t="s">
        <v>0</v>
      </c>
      <c r="B96" s="21" t="e">
        <f>COS(B94/3)</f>
        <v>#NUM!</v>
      </c>
      <c r="C96" s="21" t="e">
        <f>COS(C94/3)</f>
        <v>#NUM!</v>
      </c>
    </row>
    <row r="97" spans="1:3" ht="12.75" hidden="1">
      <c r="A97" s="16" t="s">
        <v>42</v>
      </c>
      <c r="B97" s="21" t="e">
        <f>3^0.5*SIN(B94/3)</f>
        <v>#NUM!</v>
      </c>
      <c r="C97" s="21" t="e">
        <f>3^0.5*SIN(C94/3)</f>
        <v>#NUM!</v>
      </c>
    </row>
    <row r="98" spans="1:3" ht="12.75" hidden="1">
      <c r="A98" s="16" t="s">
        <v>43</v>
      </c>
      <c r="B98" s="21">
        <f>-(B86/(3*B85))</f>
        <v>-1.4898148148148147</v>
      </c>
      <c r="C98" s="21">
        <f>-(C86/(3*C85))</f>
        <v>0</v>
      </c>
    </row>
    <row r="99" spans="1:3" ht="12.75" hidden="1">
      <c r="A99" s="16" t="s">
        <v>44</v>
      </c>
      <c r="B99" s="21" t="e">
        <f>2*B93*COS(B94/3)-(B86/(3*B85))</f>
        <v>#NUM!</v>
      </c>
      <c r="C99" s="21" t="e">
        <f>2*C93*COS(C94/3)-(C86/(3*C85))</f>
        <v>#NUM!</v>
      </c>
    </row>
    <row r="100" spans="1:3" ht="12.75" hidden="1">
      <c r="A100" s="16" t="s">
        <v>45</v>
      </c>
      <c r="B100" s="21" t="e">
        <f>B95*(B96+B97)+B98</f>
        <v>#NUM!</v>
      </c>
      <c r="C100" s="21" t="e">
        <f>C95*(C96+C97)+C98</f>
        <v>#NUM!</v>
      </c>
    </row>
    <row r="101" spans="1:3" ht="12.75" hidden="1">
      <c r="A101" s="16" t="s">
        <v>46</v>
      </c>
      <c r="B101" s="21" t="e">
        <f>B95*(B96-B97)+B98</f>
        <v>#NUM!</v>
      </c>
      <c r="C101" s="21" t="e">
        <f>C95*(C96-C97)+C98</f>
        <v>#NUM!</v>
      </c>
    </row>
    <row r="102" spans="1:3" ht="12.75" hidden="1">
      <c r="A102" s="16" t="s">
        <v>47</v>
      </c>
      <c r="B102" s="21">
        <f>-(B90/2)+B91^0.5</f>
        <v>542.3639098107012</v>
      </c>
      <c r="C102" s="21">
        <f>-(C90/2)+C91^0.5</f>
        <v>586.7648824177053</v>
      </c>
    </row>
    <row r="103" spans="1:3" ht="12.75" hidden="1">
      <c r="A103" s="16" t="s">
        <v>48</v>
      </c>
      <c r="B103" s="21">
        <f>B102^0.33333</f>
        <v>8.154947071128083</v>
      </c>
      <c r="C103" s="21">
        <f>C102^0.33333</f>
        <v>8.371670815443501</v>
      </c>
    </row>
    <row r="104" spans="1:3" ht="12.75" hidden="1">
      <c r="A104" s="16" t="s">
        <v>49</v>
      </c>
      <c r="B104" s="21">
        <f>-(B90/2)-B91^0.5</f>
        <v>2.1774175178586006</v>
      </c>
      <c r="C104" s="21">
        <f>-(C90/2)-C91^0.5</f>
        <v>1.7120300870788014</v>
      </c>
    </row>
    <row r="105" spans="1:3" ht="12.75" hidden="1">
      <c r="A105" s="16" t="s">
        <v>50</v>
      </c>
      <c r="B105" s="21">
        <f>IF(B104&gt;=0,B104^0.333333,-(-B104^0.333333))</f>
        <v>1.296125708511541</v>
      </c>
      <c r="C105" s="21">
        <f>IF(C104&gt;=0,C104^0.333333,-(-C104^0.333333))</f>
        <v>1.196291599423228</v>
      </c>
    </row>
    <row r="106" spans="1:3" ht="12.75" hidden="1">
      <c r="A106" s="16" t="s">
        <v>51</v>
      </c>
      <c r="B106" s="17">
        <f>B103+B105-(B86/(3*B85))</f>
        <v>7.961257964824809</v>
      </c>
      <c r="C106" s="17">
        <f>C103+C105-(C86/(3*C85))</f>
        <v>9.567962414866729</v>
      </c>
    </row>
    <row r="107" spans="1:3" ht="12.75" hidden="1">
      <c r="A107" s="16" t="s">
        <v>45</v>
      </c>
      <c r="B107" s="21" t="s">
        <v>52</v>
      </c>
      <c r="C107" s="21" t="s">
        <v>52</v>
      </c>
    </row>
    <row r="108" spans="1:3" ht="12.75" hidden="1">
      <c r="A108" s="16" t="s">
        <v>46</v>
      </c>
      <c r="B108" s="21" t="s">
        <v>52</v>
      </c>
      <c r="C108" s="21" t="s">
        <v>52</v>
      </c>
    </row>
    <row r="109" spans="1:3" ht="13.5" thickBot="1">
      <c r="A109" s="16" t="s">
        <v>57</v>
      </c>
      <c r="B109" s="29">
        <f>IF(B91&lt;0,B99*3600/1609,B106*3600/1609)</f>
        <v>17.81263435262232</v>
      </c>
      <c r="C109" s="29">
        <f>IF(C91&lt;0,C99*3600/1609,C106*3600/1609)</f>
        <v>21.40749825576148</v>
      </c>
    </row>
    <row r="110" spans="1:4" ht="13.5" thickTop="1">
      <c r="A110" s="19" t="s">
        <v>89</v>
      </c>
      <c r="B110" s="25">
        <f>(B$53/B81-1)*B8</f>
        <v>8.814135744910443</v>
      </c>
      <c r="C110" s="50">
        <f>(C$53/C81-1)*B8</f>
        <v>9.608971808830093</v>
      </c>
      <c r="D110" t="s">
        <v>83</v>
      </c>
    </row>
    <row r="111" spans="1:4" ht="12.75">
      <c r="A111" s="16" t="s">
        <v>90</v>
      </c>
      <c r="B111" s="26">
        <f>(B$53/B109-1)*B10</f>
        <v>-6.299192329571738</v>
      </c>
      <c r="C111" s="51">
        <f>(C$53/C109-1)*B10</f>
        <v>-6.298342921318327</v>
      </c>
      <c r="D111" t="s">
        <v>84</v>
      </c>
    </row>
    <row r="112" spans="1:4" ht="12.75">
      <c r="A112" s="16" t="s">
        <v>81</v>
      </c>
      <c r="B112" s="26">
        <f>B6+B110+B111</f>
        <v>102.5149434153387</v>
      </c>
      <c r="C112" s="26">
        <f>B6+C110+C111</f>
        <v>103.31062888751177</v>
      </c>
      <c r="D112" t="s">
        <v>85</v>
      </c>
    </row>
    <row r="113" spans="1:4" ht="12.75">
      <c r="A113" s="16" t="s">
        <v>65</v>
      </c>
      <c r="B113" s="52">
        <f>(B112/B53)/24</f>
        <v>0.2963721037499292</v>
      </c>
      <c r="C113" s="27">
        <f>(C112/C53)/24</f>
        <v>0.24850982985964765</v>
      </c>
      <c r="D113" t="s">
        <v>86</v>
      </c>
    </row>
    <row r="114" spans="1:3" ht="12.75">
      <c r="A114" s="16" t="s">
        <v>66</v>
      </c>
      <c r="B114" s="27">
        <f>((B6-B8-B10)/B53+B8/B81+B10/B109)/24</f>
        <v>0.2963721037499292</v>
      </c>
      <c r="C114" s="27">
        <f>((B6-B8-B10)/C53+B8/C81+B10/C109)/24</f>
        <v>0.24850982985964765</v>
      </c>
    </row>
    <row r="115" spans="1:3" ht="12.75">
      <c r="A115" s="43" t="s">
        <v>91</v>
      </c>
      <c r="B115" s="44">
        <f>B114*24*C53</f>
        <v>123.20795696658197</v>
      </c>
      <c r="C115" s="44">
        <f>C114*24*C53</f>
        <v>103.31062888751177</v>
      </c>
    </row>
    <row r="116" spans="1:4" ht="12.75">
      <c r="A116" s="42" t="s">
        <v>92</v>
      </c>
      <c r="B116" s="48"/>
      <c r="C116" s="53">
        <f>B115-C115</f>
        <v>19.897328079070206</v>
      </c>
      <c r="D116" t="s">
        <v>87</v>
      </c>
    </row>
    <row r="117" spans="2:3" ht="12.75">
      <c r="B117" s="48"/>
      <c r="C117" s="48">
        <f>B6+C110+C111+C116</f>
        <v>123.20795696658197</v>
      </c>
    </row>
    <row r="126" ht="12.75"/>
    <row r="127" ht="12.75"/>
    <row r="128" ht="12.75"/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21"/>
  <sheetViews>
    <sheetView workbookViewId="0" topLeftCell="A1">
      <selection activeCell="C10" sqref="C10"/>
    </sheetView>
  </sheetViews>
  <sheetFormatPr defaultColWidth="9.140625" defaultRowHeight="12.75"/>
  <cols>
    <col min="2" max="2" width="12.140625" style="0" customWidth="1"/>
    <col min="3" max="3" width="15.00390625" style="0" customWidth="1"/>
  </cols>
  <sheetData>
    <row r="2" spans="2:4" ht="12.75">
      <c r="B2" t="s">
        <v>5</v>
      </c>
      <c r="C2">
        <v>87</v>
      </c>
      <c r="D2">
        <f>9.807*C2</f>
        <v>853.2090000000001</v>
      </c>
    </row>
    <row r="3" spans="2:3" ht="12.75">
      <c r="B3" t="s">
        <v>2</v>
      </c>
      <c r="C3">
        <v>0.6934</v>
      </c>
    </row>
    <row r="4" spans="2:3" ht="12.75">
      <c r="B4" t="s">
        <v>3</v>
      </c>
      <c r="C4">
        <v>0.5</v>
      </c>
    </row>
    <row r="5" spans="2:3" ht="12.75">
      <c r="B5" t="s">
        <v>4</v>
      </c>
      <c r="C5">
        <v>1.226</v>
      </c>
    </row>
    <row r="6" spans="2:4" ht="12.75">
      <c r="B6" t="s">
        <v>6</v>
      </c>
      <c r="C6">
        <v>63.23855200901</v>
      </c>
      <c r="D6">
        <v>53.1328227552</v>
      </c>
    </row>
    <row r="7" spans="2:3" ht="12.75">
      <c r="B7" t="s">
        <v>10</v>
      </c>
      <c r="C7">
        <v>0.004</v>
      </c>
    </row>
    <row r="8" spans="2:3" ht="12.75">
      <c r="B8" t="s">
        <v>11</v>
      </c>
      <c r="C8">
        <v>-1</v>
      </c>
    </row>
    <row r="9" spans="2:3" ht="12.75">
      <c r="B9" t="s">
        <v>12</v>
      </c>
      <c r="C9">
        <v>1</v>
      </c>
    </row>
    <row r="10" spans="2:4" ht="12.75">
      <c r="B10" t="s">
        <v>13</v>
      </c>
      <c r="C10" s="34">
        <f>C8/C9</f>
        <v>-1</v>
      </c>
      <c r="D10" s="34">
        <f>$C8/($C8^2+$C9^2)^0.5</f>
        <v>-0.7071067811865475</v>
      </c>
    </row>
    <row r="11" spans="2:4" ht="12.75">
      <c r="B11" t="s">
        <v>14</v>
      </c>
      <c r="C11" s="34">
        <f>$C8/($C8^2+$C9^2)^0.5</f>
        <v>-0.7071067811865475</v>
      </c>
      <c r="D11" s="34"/>
    </row>
    <row r="12" spans="3:4" ht="12.75">
      <c r="C12" s="34"/>
      <c r="D12" s="34"/>
    </row>
    <row r="13" spans="3:4" ht="12.75">
      <c r="C13" s="34"/>
      <c r="D13" s="34"/>
    </row>
    <row r="14" spans="2:4" ht="12.75">
      <c r="B14" t="s">
        <v>1</v>
      </c>
      <c r="C14" s="34">
        <f>($C3*$C4*$C5/2)*C6^2</f>
        <v>849.9201987935771</v>
      </c>
      <c r="D14" s="34">
        <f>($C3*$C4*$C5/2)*D6^2</f>
        <v>599.9845873860353</v>
      </c>
    </row>
    <row r="15" spans="2:4" ht="12.75">
      <c r="B15" t="s">
        <v>7</v>
      </c>
      <c r="C15" s="41">
        <f>9.8*$C2*$C7</f>
        <v>3.4104</v>
      </c>
      <c r="D15" s="41">
        <f>9.8*$C2*$C7</f>
        <v>3.4104</v>
      </c>
    </row>
    <row r="16" spans="2:4" ht="12.75">
      <c r="B16" t="s">
        <v>8</v>
      </c>
      <c r="C16" s="41">
        <f>9.8*$C2*C10</f>
        <v>-852.6</v>
      </c>
      <c r="D16" s="41">
        <f>9.8*$C2*D10</f>
        <v>-602.8792416396503</v>
      </c>
    </row>
    <row r="17" spans="2:4" ht="12.75">
      <c r="B17" t="s">
        <v>9</v>
      </c>
      <c r="C17" s="41">
        <f>C14+C15+C16</f>
        <v>0.7305987935770872</v>
      </c>
      <c r="D17" s="41">
        <f>D14+D15+D16</f>
        <v>0.5157457463849369</v>
      </c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14"/>
  <sheetViews>
    <sheetView workbookViewId="0" topLeftCell="A28">
      <selection activeCell="B31" sqref="B31"/>
    </sheetView>
  </sheetViews>
  <sheetFormatPr defaultColWidth="9.140625" defaultRowHeight="12.75"/>
  <cols>
    <col min="1" max="1" width="40.00390625" style="0" customWidth="1"/>
    <col min="2" max="2" width="11.00390625" style="2" customWidth="1"/>
    <col min="3" max="3" width="8.28125" style="0" customWidth="1"/>
    <col min="4" max="4" width="16.57421875" style="0" customWidth="1"/>
    <col min="5" max="5" width="10.421875" style="0" customWidth="1"/>
    <col min="6" max="6" width="13.8515625" style="0" customWidth="1"/>
  </cols>
  <sheetData>
    <row r="1" ht="53.25" customHeight="1">
      <c r="B1"/>
    </row>
    <row r="2" spans="1:2" ht="12.75">
      <c r="A2" s="4">
        <v>38741</v>
      </c>
      <c r="B2"/>
    </row>
    <row r="3" spans="1:7" ht="18" customHeight="1">
      <c r="A3" s="4" t="s">
        <v>80</v>
      </c>
      <c r="B3" s="3"/>
      <c r="C3" s="3"/>
      <c r="D3" s="3"/>
      <c r="E3" s="3"/>
      <c r="F3" s="3"/>
      <c r="G3" s="3"/>
    </row>
    <row r="4" spans="2:3" ht="12.75">
      <c r="B4" s="5"/>
      <c r="C4" s="5"/>
    </row>
    <row r="5" spans="1:2" ht="12.75">
      <c r="A5" s="8" t="s">
        <v>15</v>
      </c>
      <c r="B5" s="9"/>
    </row>
    <row r="6" spans="1:2" ht="12.75">
      <c r="A6" s="10" t="s">
        <v>16</v>
      </c>
      <c r="B6" s="11">
        <v>100</v>
      </c>
    </row>
    <row r="7" spans="1:2" ht="12.75">
      <c r="A7" s="10" t="s">
        <v>17</v>
      </c>
      <c r="B7" s="11">
        <v>3000</v>
      </c>
    </row>
    <row r="8" spans="1:4" ht="12.75">
      <c r="A8" s="10" t="s">
        <v>18</v>
      </c>
      <c r="B8" s="11">
        <v>9</v>
      </c>
      <c r="C8" s="36">
        <f>B7/(5280*B8)</f>
        <v>0.06313131313131314</v>
      </c>
      <c r="D8" t="s">
        <v>79</v>
      </c>
    </row>
    <row r="9" spans="1:2" ht="12.75">
      <c r="A9" s="10" t="s">
        <v>61</v>
      </c>
      <c r="B9" s="11">
        <v>5280</v>
      </c>
    </row>
    <row r="10" spans="1:4" ht="12.75">
      <c r="A10" s="10" t="s">
        <v>62</v>
      </c>
      <c r="B10" s="11">
        <v>20</v>
      </c>
      <c r="C10" s="36">
        <f>B9/(5280*B10)</f>
        <v>0.05</v>
      </c>
      <c r="D10" t="s">
        <v>79</v>
      </c>
    </row>
    <row r="11" spans="1:2" ht="12.75">
      <c r="A11" s="12" t="s">
        <v>19</v>
      </c>
      <c r="B11" s="13"/>
    </row>
    <row r="12" spans="1:2" ht="12.75">
      <c r="A12" s="10" t="s">
        <v>59</v>
      </c>
      <c r="B12" s="11">
        <v>150</v>
      </c>
    </row>
    <row r="13" spans="1:6" ht="12.75">
      <c r="A13" s="10" t="s">
        <v>58</v>
      </c>
      <c r="B13" s="11">
        <v>150</v>
      </c>
      <c r="D13" t="s">
        <v>76</v>
      </c>
      <c r="E13" s="35">
        <f>(B81*1609/3600)</f>
        <v>2.560694457545202</v>
      </c>
      <c r="F13" s="1"/>
    </row>
    <row r="14" spans="1:6" ht="12.75">
      <c r="A14" s="10" t="s">
        <v>60</v>
      </c>
      <c r="B14" s="11">
        <v>150</v>
      </c>
      <c r="D14" t="s">
        <v>75</v>
      </c>
      <c r="E14" s="35">
        <f>B55+E13</f>
        <v>2.560694457545202</v>
      </c>
      <c r="F14" s="35">
        <f>E14*3600/1609</f>
        <v>5.729335019989264</v>
      </c>
    </row>
    <row r="15" spans="1:6" ht="15.75">
      <c r="A15" s="10" t="s">
        <v>20</v>
      </c>
      <c r="B15" s="11">
        <v>0.6934</v>
      </c>
      <c r="D15" t="s">
        <v>78</v>
      </c>
      <c r="E15" s="37">
        <f>0.5*B15*B16*B23*E14*E14</f>
        <v>1.3936275068263455</v>
      </c>
      <c r="F15" t="s">
        <v>72</v>
      </c>
    </row>
    <row r="16" spans="1:9" ht="15.75">
      <c r="A16" s="10" t="s">
        <v>3</v>
      </c>
      <c r="B16" s="11">
        <v>0.5</v>
      </c>
      <c r="D16" t="s">
        <v>7</v>
      </c>
      <c r="E16" s="37">
        <f>9.8*B17*B18</f>
        <v>3.4133400000000003</v>
      </c>
      <c r="F16" t="s">
        <v>73</v>
      </c>
      <c r="H16" s="34"/>
      <c r="I16" s="34"/>
    </row>
    <row r="17" spans="1:9" ht="12.75">
      <c r="A17" s="10" t="s">
        <v>21</v>
      </c>
      <c r="B17" s="11">
        <v>87.075</v>
      </c>
      <c r="D17" t="s">
        <v>8</v>
      </c>
      <c r="E17" s="37">
        <f>9.8*B17*B56</f>
        <v>53.76512349879522</v>
      </c>
      <c r="F17" t="s">
        <v>74</v>
      </c>
      <c r="H17" s="38"/>
      <c r="I17" s="38"/>
    </row>
    <row r="18" spans="1:5" ht="12.75">
      <c r="A18" s="10" t="s">
        <v>22</v>
      </c>
      <c r="B18" s="11">
        <v>0.004</v>
      </c>
      <c r="D18" t="s">
        <v>9</v>
      </c>
      <c r="E18" s="34">
        <f>SUM(E15:E17)</f>
        <v>58.572091005621566</v>
      </c>
    </row>
    <row r="19" spans="1:5" ht="12.75">
      <c r="A19" s="12" t="s">
        <v>23</v>
      </c>
      <c r="B19" s="13"/>
      <c r="D19" t="s">
        <v>77</v>
      </c>
      <c r="E19" s="34">
        <f>E18*E13</f>
        <v>149.9852288049283</v>
      </c>
    </row>
    <row r="20" spans="1:2" ht="12.75">
      <c r="A20" s="10" t="s">
        <v>24</v>
      </c>
      <c r="B20" s="11">
        <v>56.5</v>
      </c>
    </row>
    <row r="21" spans="1:2" ht="12.75">
      <c r="A21" s="10" t="s">
        <v>25</v>
      </c>
      <c r="B21" s="11">
        <v>29.95</v>
      </c>
    </row>
    <row r="22" spans="1:2" ht="12.75">
      <c r="A22" s="10" t="s">
        <v>26</v>
      </c>
      <c r="B22" s="11">
        <v>0</v>
      </c>
    </row>
    <row r="23" spans="1:10" ht="12.75">
      <c r="A23" s="10" t="s">
        <v>27</v>
      </c>
      <c r="B23" s="32">
        <f>+(0.709373646390374*B$21*(29.7871-0.000963167*B$22))/(459.67+B$20)</f>
        <v>1.2260476259463382</v>
      </c>
      <c r="C23" s="33"/>
      <c r="D23" s="7"/>
      <c r="G23" s="39"/>
      <c r="H23" s="39"/>
      <c r="I23" s="39"/>
      <c r="J23" s="40"/>
    </row>
    <row r="24" spans="1:2" ht="12.75">
      <c r="A24" s="10" t="s">
        <v>28</v>
      </c>
      <c r="B24" s="11">
        <v>0</v>
      </c>
    </row>
    <row r="25" spans="1:10" ht="13.5" thickBot="1">
      <c r="A25" s="14" t="s">
        <v>68</v>
      </c>
      <c r="B25" s="15">
        <v>0</v>
      </c>
      <c r="G25" s="38"/>
      <c r="H25" s="38"/>
      <c r="I25" s="38"/>
      <c r="J25" s="38"/>
    </row>
    <row r="26" spans="1:2" ht="13.5" thickTop="1">
      <c r="A26" s="16" t="s">
        <v>69</v>
      </c>
      <c r="B26" s="21">
        <f>B12</f>
        <v>150</v>
      </c>
    </row>
    <row r="27" spans="1:2" ht="12.75">
      <c r="A27" s="16" t="s">
        <v>29</v>
      </c>
      <c r="B27" s="23">
        <f>B$24*COS(B$25*2*PI()/360)*1609/3600</f>
        <v>0</v>
      </c>
    </row>
    <row r="28" spans="1:2" ht="12.75">
      <c r="A28" s="16" t="s">
        <v>30</v>
      </c>
      <c r="B28" s="21">
        <v>0</v>
      </c>
    </row>
    <row r="29" spans="1:2" ht="12.75">
      <c r="A29" s="16" t="s">
        <v>31</v>
      </c>
      <c r="B29" s="22">
        <f>0.5*B$15*B$16*B$23</f>
        <v>0.21253535595779774</v>
      </c>
    </row>
    <row r="30" spans="1:2" ht="12.75">
      <c r="A30" s="16" t="s">
        <v>32</v>
      </c>
      <c r="B30" s="21">
        <v>0</v>
      </c>
    </row>
    <row r="31" spans="1:2" ht="12.75">
      <c r="A31" s="16" t="s">
        <v>33</v>
      </c>
      <c r="B31" s="21">
        <f>9.8*B$17*(B$18+B28)</f>
        <v>3.4133400000000003</v>
      </c>
    </row>
    <row r="32" spans="1:2" ht="12.75">
      <c r="A32" s="16" t="s">
        <v>34</v>
      </c>
      <c r="B32" s="21">
        <f>-B26</f>
        <v>-150</v>
      </c>
    </row>
    <row r="33" spans="1:2" ht="12.75">
      <c r="A33" s="16" t="s">
        <v>35</v>
      </c>
      <c r="B33" s="21">
        <f>(3*B31/B29-B30^2/B29^2)/3</f>
        <v>16.06010437471765</v>
      </c>
    </row>
    <row r="34" spans="1:2" ht="12.75">
      <c r="A34" s="16" t="s">
        <v>36</v>
      </c>
      <c r="B34" s="21">
        <f>(2*B30^3/B29^3-9*B30*B31/B29^2+27*B32/B29)/27</f>
        <v>-705.7649270824609</v>
      </c>
    </row>
    <row r="35" spans="1:2" ht="12.75">
      <c r="A35" s="16" t="s">
        <v>37</v>
      </c>
      <c r="B35" s="21">
        <f>B34^2/4+B33^3/27</f>
        <v>124679.45284450684</v>
      </c>
    </row>
    <row r="36" spans="1:2" ht="12.75">
      <c r="A36" s="16" t="s">
        <v>38</v>
      </c>
      <c r="B36" s="21" t="e">
        <f>(B34^2/4-B35)^0.5</f>
        <v>#NUM!</v>
      </c>
    </row>
    <row r="37" spans="1:2" ht="12.75">
      <c r="A37" s="16" t="s">
        <v>39</v>
      </c>
      <c r="B37" s="21" t="e">
        <f>B36^0.33333</f>
        <v>#NUM!</v>
      </c>
    </row>
    <row r="38" spans="1:2" ht="12.75">
      <c r="A38" s="16" t="s">
        <v>40</v>
      </c>
      <c r="B38" s="21" t="e">
        <f>ACOS(-(B34/(2*B36)))</f>
        <v>#NUM!</v>
      </c>
    </row>
    <row r="39" spans="1:2" ht="12.75">
      <c r="A39" s="16" t="s">
        <v>41</v>
      </c>
      <c r="B39" s="21" t="e">
        <f>-B37</f>
        <v>#NUM!</v>
      </c>
    </row>
    <row r="40" spans="1:2" ht="12.75">
      <c r="A40" s="16" t="s">
        <v>0</v>
      </c>
      <c r="B40" s="21" t="e">
        <f>COS(B38/3)</f>
        <v>#NUM!</v>
      </c>
    </row>
    <row r="41" spans="1:2" ht="12.75">
      <c r="A41" s="16" t="s">
        <v>42</v>
      </c>
      <c r="B41" s="21" t="e">
        <f>3^0.5*SIN(B38/3)</f>
        <v>#NUM!</v>
      </c>
    </row>
    <row r="42" spans="1:2" ht="12.75">
      <c r="A42" s="16" t="s">
        <v>43</v>
      </c>
      <c r="B42" s="21">
        <f>-(B30/(3*B29))</f>
        <v>0</v>
      </c>
    </row>
    <row r="43" spans="1:2" ht="12.75">
      <c r="A43" s="16" t="s">
        <v>44</v>
      </c>
      <c r="B43" s="21" t="e">
        <f>2*B37*COS(B38/3)-(B30/(3*B29))</f>
        <v>#NUM!</v>
      </c>
    </row>
    <row r="44" spans="1:2" ht="12.75">
      <c r="A44" s="16" t="s">
        <v>45</v>
      </c>
      <c r="B44" s="21" t="e">
        <f>B39*(B40+B41)+B42</f>
        <v>#NUM!</v>
      </c>
    </row>
    <row r="45" spans="1:2" ht="12.75">
      <c r="A45" s="16" t="s">
        <v>46</v>
      </c>
      <c r="B45" s="21" t="e">
        <f>B39*(B40-B41)+B42</f>
        <v>#NUM!</v>
      </c>
    </row>
    <row r="46" spans="1:2" ht="12.75">
      <c r="A46" s="16" t="s">
        <v>47</v>
      </c>
      <c r="B46" s="21">
        <f>-(B34/2)+B35^0.5</f>
        <v>705.9822410043532</v>
      </c>
    </row>
    <row r="47" spans="1:2" ht="12.75">
      <c r="A47" s="16" t="s">
        <v>48</v>
      </c>
      <c r="B47" s="21">
        <f>B46^0.33333</f>
        <v>8.90406721052919</v>
      </c>
    </row>
    <row r="48" spans="1:2" ht="12.75">
      <c r="A48" s="16" t="s">
        <v>49</v>
      </c>
      <c r="B48" s="21">
        <f>-(B34/2)-B35^0.5</f>
        <v>-0.2173139218923552</v>
      </c>
    </row>
    <row r="49" spans="1:2" ht="12.75">
      <c r="A49" s="16" t="s">
        <v>50</v>
      </c>
      <c r="B49" s="21">
        <f>IF(B48&gt;=0,B48^0.333333,-(-B48^0.333333))</f>
        <v>-0.6012144417115813</v>
      </c>
    </row>
    <row r="50" spans="1:2" ht="12.75">
      <c r="A50" s="16" t="s">
        <v>51</v>
      </c>
      <c r="B50" s="17">
        <f>B47+B49-(B30/(3*B29))</f>
        <v>8.302852768817608</v>
      </c>
    </row>
    <row r="51" spans="1:2" ht="12.75">
      <c r="A51" s="16" t="s">
        <v>45</v>
      </c>
      <c r="B51" s="21" t="s">
        <v>52</v>
      </c>
    </row>
    <row r="52" spans="1:2" ht="12.75">
      <c r="A52" s="16" t="s">
        <v>46</v>
      </c>
      <c r="B52" s="21" t="s">
        <v>52</v>
      </c>
    </row>
    <row r="53" spans="1:2" ht="12.75">
      <c r="A53" s="16" t="s">
        <v>53</v>
      </c>
      <c r="B53" s="29">
        <f>IF(B35&lt;0,B43,B50)*3600/1609</f>
        <v>18.576923534955494</v>
      </c>
    </row>
    <row r="54" spans="1:2" ht="12.75">
      <c r="A54" s="18" t="s">
        <v>70</v>
      </c>
      <c r="B54" s="24">
        <f>B13</f>
        <v>150</v>
      </c>
    </row>
    <row r="55" spans="1:2" ht="12.75">
      <c r="A55" s="16" t="s">
        <v>29</v>
      </c>
      <c r="B55" s="23">
        <f>B$27</f>
        <v>0</v>
      </c>
    </row>
    <row r="56" spans="1:2" ht="12.75">
      <c r="A56" s="16" t="s">
        <v>54</v>
      </c>
      <c r="B56" s="30">
        <f>B7/(SQRT((B7/5280)^2+B8^2)*5280)</f>
        <v>0.06300588104178924</v>
      </c>
    </row>
    <row r="57" spans="1:2" ht="12.75">
      <c r="A57" s="16" t="s">
        <v>31</v>
      </c>
      <c r="B57" s="22">
        <f>0.5*B$15*B$16*B$23</f>
        <v>0.21253535595779774</v>
      </c>
    </row>
    <row r="58" spans="1:2" ht="12.75">
      <c r="A58" s="16" t="s">
        <v>32</v>
      </c>
      <c r="B58" s="21">
        <f>2*B57*B55</f>
        <v>0</v>
      </c>
    </row>
    <row r="59" spans="1:2" ht="12.75">
      <c r="A59" s="16" t="s">
        <v>33</v>
      </c>
      <c r="B59" s="21">
        <f>B57*B55^2+9.8*B$17*(B$18+B56)</f>
        <v>57.178463498795224</v>
      </c>
    </row>
    <row r="60" spans="1:2" ht="12.75">
      <c r="A60" s="16" t="s">
        <v>34</v>
      </c>
      <c r="B60" s="21">
        <f>-B54</f>
        <v>-150</v>
      </c>
    </row>
    <row r="61" spans="1:2" ht="12.75">
      <c r="A61" s="16" t="s">
        <v>35</v>
      </c>
      <c r="B61" s="21">
        <f>(3*B59/B57-B58^2/B57^2)/3</f>
        <v>269.03036081276247</v>
      </c>
    </row>
    <row r="62" spans="1:2" ht="12.75">
      <c r="A62" s="16" t="s">
        <v>36</v>
      </c>
      <c r="B62" s="21">
        <f>(2*B58^3/B57^3-9*B58*B59/B57^2+27*B60/B57)/27</f>
        <v>-705.7649270824609</v>
      </c>
    </row>
    <row r="63" spans="1:2" ht="12.75">
      <c r="A63" s="16" t="s">
        <v>37</v>
      </c>
      <c r="B63" s="21">
        <f>B62^2/4+B61^3/27</f>
        <v>845700.1278979098</v>
      </c>
    </row>
    <row r="64" spans="1:2" ht="12.75">
      <c r="A64" s="16" t="s">
        <v>38</v>
      </c>
      <c r="B64" s="21" t="e">
        <f>(B62^2/4-B63)^0.5</f>
        <v>#NUM!</v>
      </c>
    </row>
    <row r="65" spans="1:2" ht="12.75">
      <c r="A65" s="16" t="s">
        <v>39</v>
      </c>
      <c r="B65" s="21" t="e">
        <f>B64^0.33333</f>
        <v>#NUM!</v>
      </c>
    </row>
    <row r="66" spans="1:2" ht="12.75">
      <c r="A66" s="16" t="s">
        <v>40</v>
      </c>
      <c r="B66" s="21" t="e">
        <f>ACOS(-(B62/(2*B64)))</f>
        <v>#NUM!</v>
      </c>
    </row>
    <row r="67" spans="1:2" ht="12.75">
      <c r="A67" s="16" t="s">
        <v>41</v>
      </c>
      <c r="B67" s="21" t="e">
        <f>-B65</f>
        <v>#NUM!</v>
      </c>
    </row>
    <row r="68" spans="1:2" ht="12.75">
      <c r="A68" s="16" t="s">
        <v>0</v>
      </c>
      <c r="B68" s="21" t="e">
        <f>COS(B66/3)</f>
        <v>#NUM!</v>
      </c>
    </row>
    <row r="69" spans="1:2" ht="12.75">
      <c r="A69" s="16" t="s">
        <v>42</v>
      </c>
      <c r="B69" s="21" t="e">
        <f>3^0.5*SIN(B66/3)</f>
        <v>#NUM!</v>
      </c>
    </row>
    <row r="70" spans="1:2" ht="12.75">
      <c r="A70" s="16" t="s">
        <v>43</v>
      </c>
      <c r="B70" s="21">
        <f>-(B58/(3*B57))</f>
        <v>0</v>
      </c>
    </row>
    <row r="71" spans="1:2" ht="12.75">
      <c r="A71" s="16" t="s">
        <v>44</v>
      </c>
      <c r="B71" s="21" t="e">
        <f>2*B65*COS(B66/3)-(B58/(3*B57))</f>
        <v>#NUM!</v>
      </c>
    </row>
    <row r="72" spans="1:2" ht="12.75">
      <c r="A72" s="16" t="s">
        <v>45</v>
      </c>
      <c r="B72" s="21" t="e">
        <f>B67*(B68+B69)+B70</f>
        <v>#NUM!</v>
      </c>
    </row>
    <row r="73" spans="1:2" ht="12.75">
      <c r="A73" s="16" t="s">
        <v>46</v>
      </c>
      <c r="B73" s="21" t="e">
        <f>B67*(B68-B69)+B70</f>
        <v>#NUM!</v>
      </c>
    </row>
    <row r="74" spans="1:2" ht="12.75">
      <c r="A74" s="16" t="s">
        <v>47</v>
      </c>
      <c r="B74" s="21">
        <f>-(B62/2)+B63^0.5</f>
        <v>1272.502019606623</v>
      </c>
    </row>
    <row r="75" spans="1:2" ht="12.75">
      <c r="A75" s="16" t="s">
        <v>48</v>
      </c>
      <c r="B75" s="21">
        <f>B74^0.33333</f>
        <v>10.836170037927063</v>
      </c>
    </row>
    <row r="76" spans="1:2" ht="12.75">
      <c r="A76" s="16" t="s">
        <v>49</v>
      </c>
      <c r="B76" s="21">
        <f>-(B62/2)-B63^0.5</f>
        <v>-566.7370925241622</v>
      </c>
    </row>
    <row r="77" spans="1:2" ht="12.75">
      <c r="A77" s="16" t="s">
        <v>50</v>
      </c>
      <c r="B77" s="21">
        <f>IF(B76&gt;=0,B76^0.333333,-(-B76^0.333333))</f>
        <v>-8.275475580381862</v>
      </c>
    </row>
    <row r="78" spans="1:2" ht="12.75">
      <c r="A78" s="16" t="s">
        <v>51</v>
      </c>
      <c r="B78" s="17">
        <f>B75+B77-(B58/(3*B57))</f>
        <v>2.5606944575452015</v>
      </c>
    </row>
    <row r="79" spans="1:2" ht="12.75">
      <c r="A79" s="16" t="s">
        <v>45</v>
      </c>
      <c r="B79" s="21" t="s">
        <v>52</v>
      </c>
    </row>
    <row r="80" spans="1:2" ht="12.75">
      <c r="A80" s="16" t="s">
        <v>46</v>
      </c>
      <c r="B80" s="21" t="s">
        <v>52</v>
      </c>
    </row>
    <row r="81" spans="1:2" ht="12.75">
      <c r="A81" s="16" t="s">
        <v>55</v>
      </c>
      <c r="B81" s="29">
        <f>IF(B63&lt;0,B71,B78)*3600/1609</f>
        <v>5.729335019989264</v>
      </c>
    </row>
    <row r="82" spans="1:2" ht="12.75">
      <c r="A82" s="18" t="s">
        <v>71</v>
      </c>
      <c r="B82" s="24">
        <f>B14</f>
        <v>150</v>
      </c>
    </row>
    <row r="83" spans="1:2" ht="12.75">
      <c r="A83" s="16" t="s">
        <v>29</v>
      </c>
      <c r="B83" s="23">
        <f>B$24*1609/3600*COS(B$25*2*PI()/360)</f>
        <v>0</v>
      </c>
    </row>
    <row r="84" spans="1:2" ht="12.75">
      <c r="A84" s="16" t="s">
        <v>56</v>
      </c>
      <c r="B84" s="30">
        <f>-B9/(SQRT((B9/5280)^2+B10^2)*5280)</f>
        <v>-0.04993761694389223</v>
      </c>
    </row>
    <row r="85" spans="1:2" ht="12.75">
      <c r="A85" s="16" t="s">
        <v>31</v>
      </c>
      <c r="B85" s="22">
        <f>0.5*B$15*B$16*B$23</f>
        <v>0.21253535595779774</v>
      </c>
    </row>
    <row r="86" spans="1:2" ht="12.75">
      <c r="A86" s="16" t="s">
        <v>32</v>
      </c>
      <c r="B86" s="21">
        <f>2*B85*B83</f>
        <v>0</v>
      </c>
    </row>
    <row r="87" spans="1:2" ht="12.75">
      <c r="A87" s="16" t="s">
        <v>33</v>
      </c>
      <c r="B87" s="21">
        <f>B85*B83^2+9.8*B$17*(B$18+B84)</f>
        <v>-39.20017635481628</v>
      </c>
    </row>
    <row r="88" spans="1:2" ht="12.75">
      <c r="A88" s="16" t="s">
        <v>34</v>
      </c>
      <c r="B88" s="21">
        <f>-B82</f>
        <v>-150</v>
      </c>
    </row>
    <row r="89" spans="1:2" ht="12.75">
      <c r="A89" s="16" t="s">
        <v>35</v>
      </c>
      <c r="B89" s="21">
        <f>(3*B87/B85-B86^2/B85^2)/3</f>
        <v>-184.4407307111768</v>
      </c>
    </row>
    <row r="90" spans="1:2" ht="12.75">
      <c r="A90" s="16" t="s">
        <v>36</v>
      </c>
      <c r="B90" s="21">
        <f>(2*B86^3/B85^3-9*B86*B87/B85^2+27*B88/B85)/27</f>
        <v>-705.7649270824609</v>
      </c>
    </row>
    <row r="91" spans="1:2" ht="12.75">
      <c r="A91" s="16" t="s">
        <v>37</v>
      </c>
      <c r="B91" s="21">
        <f>B90^2/4+B89^3/27</f>
        <v>-107858.24266310562</v>
      </c>
    </row>
    <row r="92" spans="1:2" ht="12.75">
      <c r="A92" s="16" t="s">
        <v>38</v>
      </c>
      <c r="B92" s="21">
        <f>(B90^2/4-B91)^0.5</f>
        <v>482.0625226441415</v>
      </c>
    </row>
    <row r="93" spans="1:2" ht="12.75">
      <c r="A93" s="16" t="s">
        <v>39</v>
      </c>
      <c r="B93" s="21">
        <f>B92^0.33333</f>
        <v>7.840772374325333</v>
      </c>
    </row>
    <row r="94" spans="1:2" ht="12.75">
      <c r="A94" s="16" t="s">
        <v>40</v>
      </c>
      <c r="B94" s="21">
        <f>ACOS(-(B90/(2*B92)))</f>
        <v>0.749504782128427</v>
      </c>
    </row>
    <row r="95" spans="1:2" ht="12.75">
      <c r="A95" s="16" t="s">
        <v>41</v>
      </c>
      <c r="B95" s="21">
        <f>-B93</f>
        <v>-7.840772374325333</v>
      </c>
    </row>
    <row r="96" spans="1:2" ht="12.75">
      <c r="A96" s="16" t="s">
        <v>0</v>
      </c>
      <c r="B96" s="21">
        <f>COS(B94/3)</f>
        <v>0.968953248130233</v>
      </c>
    </row>
    <row r="97" spans="1:2" ht="12.75">
      <c r="A97" s="16" t="s">
        <v>42</v>
      </c>
      <c r="B97" s="21">
        <f>3^0.5*SIN(B94/3)</f>
        <v>0.42823919579320807</v>
      </c>
    </row>
    <row r="98" spans="1:2" ht="12.75">
      <c r="A98" s="16" t="s">
        <v>43</v>
      </c>
      <c r="B98" s="21">
        <f>-(B86/(3*B85))</f>
        <v>0</v>
      </c>
    </row>
    <row r="99" spans="1:2" ht="12.75">
      <c r="A99" s="16" t="s">
        <v>44</v>
      </c>
      <c r="B99" s="21">
        <f>2*B93*COS(B94/3)-(B86/(3*B85))</f>
        <v>15.19468371990466</v>
      </c>
    </row>
    <row r="100" spans="1:2" ht="12.75">
      <c r="A100" s="16" t="s">
        <v>45</v>
      </c>
      <c r="B100" s="21">
        <f>B95*(B96+B97)+B98</f>
        <v>-10.955067915931014</v>
      </c>
    </row>
    <row r="101" spans="1:2" ht="12.75">
      <c r="A101" s="16" t="s">
        <v>46</v>
      </c>
      <c r="B101" s="21">
        <f>B95*(B96-B97)+B98</f>
        <v>-4.2396158039736465</v>
      </c>
    </row>
    <row r="102" spans="1:2" ht="12.75">
      <c r="A102" s="16" t="s">
        <v>47</v>
      </c>
      <c r="B102" s="21" t="e">
        <f>-(B90/2)+B91^0.5</f>
        <v>#NUM!</v>
      </c>
    </row>
    <row r="103" spans="1:2" ht="12.75">
      <c r="A103" s="16" t="s">
        <v>48</v>
      </c>
      <c r="B103" s="21" t="e">
        <f>B102^0.33333</f>
        <v>#NUM!</v>
      </c>
    </row>
    <row r="104" spans="1:2" ht="12.75">
      <c r="A104" s="16" t="s">
        <v>49</v>
      </c>
      <c r="B104" s="21" t="e">
        <f>-(B90/2)-B91^0.5</f>
        <v>#NUM!</v>
      </c>
    </row>
    <row r="105" spans="1:2" ht="12.75">
      <c r="A105" s="16" t="s">
        <v>50</v>
      </c>
      <c r="B105" s="21" t="e">
        <f>IF(B104&gt;=0,B104^0.333333,-(-B104^0.333333))</f>
        <v>#NUM!</v>
      </c>
    </row>
    <row r="106" spans="1:2" ht="12.75">
      <c r="A106" s="16" t="s">
        <v>51</v>
      </c>
      <c r="B106" s="17" t="e">
        <f>B103+B105-(B86/(3*B85))</f>
        <v>#NUM!</v>
      </c>
    </row>
    <row r="107" spans="1:2" ht="12.75">
      <c r="A107" s="16" t="s">
        <v>45</v>
      </c>
      <c r="B107" s="21" t="s">
        <v>52</v>
      </c>
    </row>
    <row r="108" spans="1:2" ht="12.75">
      <c r="A108" s="16" t="s">
        <v>46</v>
      </c>
      <c r="B108" s="21" t="s">
        <v>52</v>
      </c>
    </row>
    <row r="109" spans="1:2" ht="13.5" thickBot="1">
      <c r="A109" s="16" t="s">
        <v>57</v>
      </c>
      <c r="B109" s="29">
        <f>IF(B91&lt;0,B99*3600/1609,B106*3600/1609)</f>
        <v>33.996806334155856</v>
      </c>
    </row>
    <row r="110" spans="1:2" ht="13.5" thickTop="1">
      <c r="A110" s="19" t="s">
        <v>63</v>
      </c>
      <c r="B110" s="25">
        <f>(B$53/B81-1)*B8</f>
        <v>20.181800546010436</v>
      </c>
    </row>
    <row r="111" spans="1:4" ht="12.75">
      <c r="A111" s="16" t="s">
        <v>64</v>
      </c>
      <c r="B111" s="26">
        <f>(B$53/B109-1)*B10</f>
        <v>-9.071371379792424</v>
      </c>
      <c r="D111" s="31"/>
    </row>
    <row r="112" spans="1:2" ht="12.75">
      <c r="A112" s="16" t="s">
        <v>67</v>
      </c>
      <c r="B112" s="26">
        <f>B6+B110+B111</f>
        <v>111.11042916621801</v>
      </c>
    </row>
    <row r="113" spans="1:2" ht="12.75">
      <c r="A113" s="16" t="s">
        <v>65</v>
      </c>
      <c r="B113" s="27">
        <f>(B112/B53)/24</f>
        <v>0.24921248163334142</v>
      </c>
    </row>
    <row r="114" spans="1:2" ht="12.75">
      <c r="A114" s="20" t="s">
        <v>66</v>
      </c>
      <c r="B114" s="28">
        <f>((B6-B8-B10)/B53+B8/B81+B10/B109)/24</f>
        <v>0.24921248163334142</v>
      </c>
    </row>
    <row r="115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Compton</dc:creator>
  <cp:keywords/>
  <dc:description/>
  <cp:lastModifiedBy>Tom Jordan</cp:lastModifiedBy>
  <dcterms:created xsi:type="dcterms:W3CDTF">2004-04-17T22:52:38Z</dcterms:created>
  <dcterms:modified xsi:type="dcterms:W3CDTF">2008-05-18T17:44:18Z</dcterms:modified>
  <cp:category/>
  <cp:version/>
  <cp:contentType/>
  <cp:contentStatus/>
</cp:coreProperties>
</file>